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05" windowHeight="895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<sst xmlns="http://schemas.openxmlformats.org/spreadsheetml/2006/main" count="1868" uniqueCount="664">
  <si>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</si>
  <si>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</si>
  <si>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</si>
  <si>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</si>
  <si>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</si>
  <si>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</si>
  <si>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</si>
  <si>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</si>
  <si>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</si>
  <si>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</si>
  <si>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</si>
  <si>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</si>
  <si>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</si>
  <si>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</si>
  <si>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</si>
  <si>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</si>
  <si>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</si>
  <si>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</si>
  <si>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</si>
  <si>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</si>
  <si>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</si>
  <si>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</si>
  <si>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</si>
  <si>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</si>
  <si>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</si>
  <si>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</si>
  <si>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</si>
  <si>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</si>
  <si>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</si>
  <si>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</si>
  <si>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</si>
  <si>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</si>
  <si>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</si>
  <si>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</si>
  <si>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</si>
  <si>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</si>
  <si>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</si>
  <si>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</si>
  <si>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</si>
  <si>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</si>
  <si>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</si>
  <si>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</si>
  <si>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</si>
  <si>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</si>
  <si>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</si>
  <si>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</si>
  <si>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</si>
  <si>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</si>
  <si>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</si>
  <si>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</si>
  <si>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</si>
  <si>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</si>
  <si>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</si>
  <si>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</si>
  <si>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</si>
  <si>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</si>
  <si>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</si>
  <si>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</si>
  <si>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</si>
  <si>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</si>
  <si>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</si>
  <si>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</si>
  <si>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</si>
  <si>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</si>
  <si>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</si>
  <si>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</si>
  <si>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</si>
  <si>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</si>
  <si>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</si>
  <si>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</si>
  <si>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</si>
  <si>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</si>
  <si>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</si>
  <si>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</si>
  <si>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</si>
  <si>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</si>
  <si>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</si>
  <si>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</si>
  <si>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</si>
  <si>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</si>
  <si>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</si>
  <si>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</si>
  <si>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</si>
  <si>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</si>
  <si>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</si>
  <si>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</si>
  <si>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</si>
  <si>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</si>
  <si>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</si>
  <si>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</si>
  <si>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</si>
  <si>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</si>
  <si>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</si>
  <si>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</si>
  <si>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</si>
  <si>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</si>
  <si>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</si>
  <si>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</si>
  <si>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</si>
  <si>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</si>
  <si>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</si>
  <si>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</si>
  <si>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</si>
  <si>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</si>
  <si>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</si>
  <si>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</si>
  <si>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</si>
  <si>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</si>
  <si>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</si>
  <si>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</si>
  <si>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</si>
  <si>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</si>
  <si>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</si>
  <si>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</si>
  <si>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</si>
  <si>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</si>
  <si>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</si>
  <si>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</si>
  <si>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</si>
  <si>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</si>
  <si>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</si>
  <si>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</si>
  <si>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</si>
  <si>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</si>
  <si>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</si>
  <si>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</si>
  <si>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</si>
  <si>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</si>
  <si>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</si>
  <si>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</si>
  <si>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</si>
  <si>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</si>
  <si>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</si>
  <si>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</si>
  <si>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</si>
  <si>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</si>
  <si>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</si>
  <si>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</si>
  <si>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</si>
  <si>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</si>
  <si>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</si>
  <si>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</si>
  <si>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</si>
  <si>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</si>
  <si>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</si>
  <si>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</si>
  <si>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</si>
  <si>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</si>
  <si>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</si>
  <si>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</si>
  <si>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</si>
  <si>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</si>
  <si>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</si>
  <si>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</si>
  <si>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</si>
  <si>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</si>
  <si>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</si>
  <si>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</si>
  <si>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</si>
  <si>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</si>
  <si>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</si>
  <si>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</si>
  <si>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</si>
  <si>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</si>
  <si>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</si>
  <si>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</si>
  <si>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</si>
  <si>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</si>
  <si>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</si>
  <si>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</si>
  <si>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</si>
  <si>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</si>
  <si>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</si>
  <si>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</si>
  <si>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</si>
  <si>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</si>
  <si>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</si>
  <si>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</si>
  <si>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</si>
  <si>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</si>
  <si>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</si>
  <si>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</si>
  <si>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</si>
  <si>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</si>
  <si>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</si>
  <si>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</si>
  <si>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</si>
  <si>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</si>
  <si>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</si>
  <si>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</si>
  <si>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</si>
  <si>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</si>
  <si>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</si>
  <si>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</si>
  <si>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</si>
  <si>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</si>
  <si>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</si>
  <si>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</si>
  <si>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</si>
  <si>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</si>
  <si>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</si>
  <si>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</si>
  <si>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</si>
  <si>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</si>
  <si>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</si>
  <si>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</si>
  <si>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</si>
  <si>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</si>
  <si>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</si>
  <si>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</si>
  <si>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</si>
  <si>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</si>
  <si>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</si>
  <si>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</si>
  <si>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</si>
  <si>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</si>
  <si>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</si>
  <si>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</si>
  <si>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</si>
  <si>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</si>
  <si>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</si>
  <si>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</si>
  <si>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</si>
  <si>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</si>
  <si>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</si>
  <si>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</si>
  <si>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</si>
  <si>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</si>
  <si>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</si>
  <si>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</si>
  <si>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</si>
  <si>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</si>
  <si>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</si>
  <si>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</si>
  <si>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</si>
  <si>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</si>
  <si>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</si>
  <si>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</si>
  <si>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</si>
  <si>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</si>
  <si>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</si>
  <si>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</si>
  <si>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</si>
  <si>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</si>
  <si>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</si>
  <si>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</si>
  <si>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</si>
  <si>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</si>
  <si>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</si>
  <si>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</si>
  <si>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</si>
  <si>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</si>
  <si>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</si>
  <si>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</si>
  <si>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</si>
  <si>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</si>
  <si>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</si>
  <si>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</si>
  <si>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</si>
  <si>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</si>
  <si>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</si>
  <si>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</si>
  <si>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</si>
  <si>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</si>
  <si>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</si>
  <si>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</si>
  <si>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</si>
  <si>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</si>
  <si>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</si>
  <si>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</si>
  <si>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</si>
  <si>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</si>
  <si>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</si>
  <si>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</si>
  <si>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</si>
  <si>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</si>
  <si>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</si>
  <si>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</si>
  <si>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</si>
  <si>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</si>
  <si>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</si>
  <si>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</si>
  <si>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</si>
  <si>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</si>
  <si>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</si>
  <si>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</si>
  <si>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</si>
  <si>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</si>
  <si>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</si>
  <si>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</si>
  <si>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</si>
  <si>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</si>
  <si>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</si>
  <si>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</si>
  <si>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</si>
  <si>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</si>
  <si>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</si>
  <si>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</si>
  <si>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</si>
  <si>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</si>
  <si>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</si>
  <si>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</si>
  <si>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</si>
  <si>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</si>
  <si>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</si>
  <si>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</si>
  <si>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</si>
  <si>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</si>
  <si>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</si>
  <si>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</si>
  <si>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</si>
  <si>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</si>
  <si>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</si>
  <si>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</si>
  <si>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</si>
  <si>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</si>
  <si>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</si>
  <si>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</si>
  <si>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</si>
  <si>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</si>
  <si>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</si>
  <si>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</si>
  <si>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</si>
  <si>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</si>
  <si>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</si>
  <si>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</si>
  <si>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</si>
  <si>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</si>
  <si>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</si>
  <si>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</si>
  <si>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</si>
  <si>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</si>
  <si>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</si>
  <si>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</si>
  <si>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</si>
  <si>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</si>
  <si>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</si>
  <si>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</si>
  <si>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</si>
  <si>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</si>
  <si>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</si>
  <si>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</si>
  <si>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</si>
  <si>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</si>
  <si>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</si>
  <si>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</si>
  <si>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</si>
  <si>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</si>
  <si>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</si>
  <si>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</si>
  <si>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</si>
  <si>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</si>
  <si>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</si>
  <si>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</si>
  <si>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</si>
  <si>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</si>
  <si>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</si>
  <si>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</si>
  <si>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</si>
  <si>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</si>
  <si>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</si>
  <si>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</si>
  <si>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</si>
  <si>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</si>
  <si>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</si>
  <si>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</si>
  <si>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</si>
  <si>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</si>
  <si>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</si>
  <si>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</si>
  <si>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</si>
  <si>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</si>
  <si>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</si>
  <si>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</si>
  <si>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</si>
  <si>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</si>
  <si>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</si>
  <si>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</si>
  <si>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</si>
  <si>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</si>
  <si>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</si>
  <si>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</si>
  <si>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</si>
  <si>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</si>
  <si>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</si>
  <si>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</si>
  <si>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</si>
  <si>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</si>
  <si>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</si>
  <si>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</si>
  <si>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</si>
  <si>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</si>
  <si>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</si>
  <si>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</si>
  <si>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</si>
  <si>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</si>
  <si>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</si>
  <si>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</si>
  <si>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</si>
  <si>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</si>
  <si>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</si>
  <si>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</si>
  <si>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</si>
  <si>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</si>
  <si>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</si>
  <si>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</si>
  <si>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</si>
  <si>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</si>
  <si>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</si>
  <si>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</si>
  <si>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</si>
  <si>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</si>
  <si>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</si>
  <si>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</si>
  <si>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</si>
  <si>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</si>
  <si>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</si>
  <si>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</si>
  <si>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</si>
  <si>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</si>
  <si>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</si>
  <si>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</si>
  <si>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</si>
  <si>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</si>
  <si>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</si>
  <si>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</si>
  <si>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</si>
  <si>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</si>
  <si>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</si>
  <si>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</si>
  <si>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</si>
  <si>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</si>
  <si>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</si>
  <si>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</si>
  <si>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</si>
  <si>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</si>
  <si>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</si>
  <si>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</si>
  <si>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</si>
  <si>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</si>
  <si>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</si>
  <si>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</si>
  <si>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</si>
  <si>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</si>
  <si>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</si>
  <si>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</si>
  <si>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</si>
  <si>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</si>
  <si>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</si>
  <si>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</si>
  <si>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</si>
  <si>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</si>
  <si>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</si>
  <si>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</si>
  <si>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</si>
  <si>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</si>
  <si>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</si>
  <si>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</si>
  <si>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</si>
  <si>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</si>
  <si>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</si>
  <si>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</si>
  <si>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</si>
  <si>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</si>
  <si>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</si>
  <si>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</si>
  <si>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</si>
  <si>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</si>
  <si>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</si>
  <si>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</si>
  <si>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</si>
  <si>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</si>
  <si>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</si>
  <si>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</si>
  <si>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</si>
  <si>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</si>
  <si>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</si>
  <si>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</si>
  <si>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</si>
  <si>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</si>
  <si>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</si>
  <si>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</si>
  <si>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</si>
  <si>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</si>
  <si>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</si>
  <si>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</si>
  <si>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</si>
  <si>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</si>
  <si>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</si>
  <si>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</si>
  <si>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</si>
  <si>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</si>
  <si>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</si>
  <si>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</si>
  <si>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</si>
  <si>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</si>
  <si>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</si>
  <si>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</si>
  <si>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</si>
  <si>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</si>
  <si>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</si>
  <si>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</si>
  <si>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</si>
  <si>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</si>
  <si>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</si>
  <si>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</si>
  <si>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</si>
  <si>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</si>
  <si>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</si>
  <si>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</si>
  <si>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</si>
  <si>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</si>
  <si>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</si>
  <si>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</si>
  <si>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</si>
  <si>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</si>
  <si>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</si>
  <si>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</si>
  <si>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</si>
  <si>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</si>
  <si>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</si>
  <si>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</si>
  <si>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</si>
  <si>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</si>
  <si>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</si>
  <si>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</si>
  <si>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</si>
  <si>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</si>
  <si>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</si>
  <si>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</si>
  <si>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</si>
  <si>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</si>
  <si>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</si>
  <si>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</si>
  <si>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</si>
  <si>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</si>
  <si>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</si>
  <si>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</si>
  <si>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</si>
  <si>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</si>
  <si>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</si>
  <si>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</si>
  <si>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</si>
  <si>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</si>
  <si>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</si>
  <si>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</si>
  <si>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</si>
  <si>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</si>
  <si>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</si>
  <si>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</si>
  <si>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</si>
  <si>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</si>
  <si>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</si>
  <si>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</si>
  <si>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</si>
  <si>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</si>
  <si>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</si>
  <si>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</si>
  <si>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</si>
  <si>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</si>
  <si>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</si>
  <si>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</si>
  <si>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</si>
  <si>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</si>
  <si>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</si>
  <si>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</si>
  <si>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</si>
  <si>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</si>
  <si>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</si>
  <si>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</si>
  <si>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</si>
  <si>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</si>
  <si>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</si>
  <si>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</si>
  <si>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</si>
  <si>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</si>
  <si>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</si>
  <si>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</si>
  <si>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</si>
  <si>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</si>
  <si>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</si>
  <si>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</si>
  <si>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</si>
  <si>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</si>
  <si>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</si>
  <si>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</si>
  <si>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</si>
  <si>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</si>
  <si>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</si>
  <si>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</si>
  <si>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</si>
  <si>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</si>
  <si>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</si>
  <si>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</si>
  <si>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</si>
  <si>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</si>
  <si>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</si>
  <si>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</si>
  <si>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</si>
  <si>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</si>
  <si>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</si>
  <si>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</si>
  <si>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</si>
  <si>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</si>
  <si>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</si>
  <si>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</si>
  <si>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</si>
  <si>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</si>
  <si>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</si>
  <si>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</si>
  <si>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</si>
  <si>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</si>
  <si>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</si>
  <si>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</si>
  <si>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</si>
  <si>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</si>
  <si>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</si>
  <si>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</si>
  <si>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</si>
  <si>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</si>
  <si>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</si>
  <si>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</si>
  <si>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</si>
  <si>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</si>
  <si>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</si>
  <si>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</si>
  <si>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</si>
  <si>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</si>
  <si>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</si>
  <si>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</si>
  <si>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</si>
  <si>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</si>
  <si>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</si>
  <si>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</si>
  <si>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</si>
  <si>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</si>
  <si>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</si>
  <si>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</si>
  <si>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</si>
  <si>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</si>
  <si>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</si>
  <si>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</si>
  <si>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</si>
  <si>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</si>
  <si>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</si>
  <si>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</si>
  <si>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</si>
  <si>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</si>
  <si>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</si>
  <si>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</si>
  <si>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</si>
  <si>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</si>
  <si>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</si>
  <si>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</si>
  <si>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</si>
  <si>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</si>
  <si>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</si>
  <si>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</si>
  <si>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</si>
  <si>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</si>
  <si>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</si>
  <si>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</si>
  <si>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главен счетоводител</t>
  </si>
  <si>
    <t>Диана Петкова</t>
  </si>
</sst>
</file>

<file path=xl/styles.xml><?xml version="1.0" encoding="utf-8"?>
<styleSheet xmlns="http://schemas.openxmlformats.org/spreadsheetml/2006/main">
  <numFmts count="42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626</v>
      </c>
      <c r="B1" s="2"/>
      <c r="Z1" s="427">
        <v>1</v>
      </c>
      <c r="AA1" s="428">
        <f>IF(ISBLANK(_endDate),"",_endDate)</f>
        <v>45382</v>
      </c>
    </row>
    <row r="2" spans="1:27" ht="15.75">
      <c r="A2" s="418" t="s">
        <v>650</v>
      </c>
      <c r="B2" s="413"/>
      <c r="Z2" s="427">
        <v>2</v>
      </c>
      <c r="AA2" s="428">
        <f>IF(ISBLANK(_pdeReportingDate),"",_pdeReportingDate)</f>
        <v>45427</v>
      </c>
    </row>
    <row r="3" spans="1:27" ht="15.75">
      <c r="A3" s="414" t="s">
        <v>624</v>
      </c>
      <c r="B3" s="415"/>
      <c r="Z3" s="427">
        <v>3</v>
      </c>
      <c r="AA3" s="428" t="str">
        <f>IF(ISBLANK(_authorName),"",_authorName)</f>
        <v>Диана Петкова</v>
      </c>
    </row>
    <row r="4" spans="1:2" ht="15.75">
      <c r="A4" s="412" t="s">
        <v>651</v>
      </c>
      <c r="B4" s="413"/>
    </row>
    <row r="5" spans="1:2" ht="31.5">
      <c r="A5" s="416" t="s">
        <v>652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45292</v>
      </c>
    </row>
    <row r="10" spans="1:2" ht="15.75">
      <c r="A10" s="7" t="s">
        <v>2</v>
      </c>
      <c r="B10" s="313">
        <v>45382</v>
      </c>
    </row>
    <row r="11" spans="1:2" ht="15.75">
      <c r="A11" s="7" t="s">
        <v>638</v>
      </c>
      <c r="B11" s="313">
        <v>45427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2" t="s">
        <v>654</v>
      </c>
    </row>
    <row r="15" spans="1:2" ht="15.75">
      <c r="A15" s="10" t="s">
        <v>630</v>
      </c>
      <c r="B15" s="314" t="s">
        <v>588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659</v>
      </c>
    </row>
    <row r="24" spans="1:2" ht="15.75">
      <c r="A24" s="10" t="s">
        <v>584</v>
      </c>
      <c r="B24" s="430" t="s">
        <v>660</v>
      </c>
    </row>
    <row r="25" spans="1:2" ht="15.75">
      <c r="A25" s="7" t="s">
        <v>587</v>
      </c>
      <c r="B25" s="431" t="s">
        <v>661</v>
      </c>
    </row>
    <row r="26" spans="1:2" ht="15.75">
      <c r="A26" s="10" t="s">
        <v>631</v>
      </c>
      <c r="B26" s="314" t="s">
        <v>663</v>
      </c>
    </row>
    <row r="27" spans="1:2" ht="15.75">
      <c r="A27" s="10" t="s">
        <v>632</v>
      </c>
      <c r="B27" s="314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E27" sqref="E2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6340</v>
      </c>
      <c r="D13" s="119">
        <v>6365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f>243+1097</f>
        <v>1340</v>
      </c>
      <c r="D14" s="119">
        <v>1176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-3310</v>
      </c>
      <c r="H15" s="119">
        <v>-1799</v>
      </c>
    </row>
    <row r="16" spans="1:8" ht="15.75">
      <c r="A16" s="66" t="s">
        <v>38</v>
      </c>
      <c r="B16" s="68" t="s">
        <v>39</v>
      </c>
      <c r="C16" s="119">
        <v>220</v>
      </c>
      <c r="D16" s="119">
        <v>243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270</v>
      </c>
      <c r="D17" s="119">
        <v>289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297</v>
      </c>
      <c r="D18" s="119">
        <v>244</v>
      </c>
      <c r="E18" s="246" t="s">
        <v>47</v>
      </c>
      <c r="F18" s="245" t="s">
        <v>48</v>
      </c>
      <c r="G18" s="343">
        <f>G12+G15+G16+G17</f>
        <v>56051</v>
      </c>
      <c r="H18" s="344">
        <f>H12+H15+H16+H17</f>
        <v>57562</v>
      </c>
    </row>
    <row r="19" spans="1:8" ht="15.75">
      <c r="A19" s="66" t="s">
        <v>49</v>
      </c>
      <c r="B19" s="68" t="s">
        <v>50</v>
      </c>
      <c r="C19" s="119">
        <f>1744+248</f>
        <v>1992</v>
      </c>
      <c r="D19" s="119">
        <v>1864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10459</v>
      </c>
      <c r="D20" s="332">
        <f>SUM(D12:D19)</f>
        <v>10181</v>
      </c>
      <c r="E20" s="66" t="s">
        <v>54</v>
      </c>
      <c r="F20" s="69" t="s">
        <v>55</v>
      </c>
      <c r="G20" s="119">
        <v>2761</v>
      </c>
      <c r="H20" s="119">
        <v>2501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6504</v>
      </c>
      <c r="H22" s="348">
        <f>SUM(H23:H25)</f>
        <v>6456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6254</v>
      </c>
      <c r="H23" s="119">
        <v>6254</v>
      </c>
    </row>
    <row r="24" spans="1:13" ht="15.75">
      <c r="A24" s="66" t="s">
        <v>67</v>
      </c>
      <c r="B24" s="68" t="s">
        <v>68</v>
      </c>
      <c r="C24" s="119">
        <v>3909</v>
      </c>
      <c r="D24" s="119">
        <v>4221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895</v>
      </c>
      <c r="D25" s="119">
        <v>914</v>
      </c>
      <c r="E25" s="66" t="s">
        <v>73</v>
      </c>
      <c r="F25" s="69" t="s">
        <v>74</v>
      </c>
      <c r="G25" s="119">
        <v>250</v>
      </c>
      <c r="H25" s="119">
        <f>133+69</f>
        <v>202</v>
      </c>
    </row>
    <row r="26" spans="1:13" ht="15.75">
      <c r="A26" s="66" t="s">
        <v>75</v>
      </c>
      <c r="B26" s="68" t="s">
        <v>76</v>
      </c>
      <c r="C26" s="119">
        <f>4945+5825</f>
        <v>10770</v>
      </c>
      <c r="D26" s="119">
        <v>10501</v>
      </c>
      <c r="E26" s="249" t="s">
        <v>77</v>
      </c>
      <c r="F26" s="71" t="s">
        <v>78</v>
      </c>
      <c r="G26" s="331">
        <f>G20+G21+G22</f>
        <v>9265</v>
      </c>
      <c r="H26" s="332">
        <f>H20+H21+H22</f>
        <v>8957</v>
      </c>
      <c r="M26" s="74"/>
    </row>
    <row r="27" spans="1:8" ht="15.75">
      <c r="A27" s="66" t="s">
        <v>79</v>
      </c>
      <c r="B27" s="68" t="s">
        <v>80</v>
      </c>
      <c r="C27" s="119">
        <v>4640</v>
      </c>
      <c r="D27" s="119">
        <v>4751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20214</v>
      </c>
      <c r="D28" s="332">
        <f>SUM(D24:D27)</f>
        <v>20387</v>
      </c>
      <c r="E28" s="124" t="s">
        <v>84</v>
      </c>
      <c r="F28" s="69" t="s">
        <v>85</v>
      </c>
      <c r="G28" s="329">
        <f>SUM(G29:G31)</f>
        <v>8970</v>
      </c>
      <c r="H28" s="330">
        <f>SUM(H29:H31)</f>
        <v>10826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8970</v>
      </c>
      <c r="H29" s="119">
        <v>10826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26252</v>
      </c>
      <c r="D31" s="119">
        <v>26252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703</v>
      </c>
      <c r="H32" s="119"/>
      <c r="M32" s="74"/>
    </row>
    <row r="33" spans="1:8" ht="15.75">
      <c r="A33" s="247" t="s">
        <v>99</v>
      </c>
      <c r="B33" s="73" t="s">
        <v>100</v>
      </c>
      <c r="C33" s="331">
        <f>C31+C32</f>
        <v>26252</v>
      </c>
      <c r="D33" s="332">
        <f>D31+D32</f>
        <v>26252</v>
      </c>
      <c r="E33" s="122" t="s">
        <v>101</v>
      </c>
      <c r="F33" s="69" t="s">
        <v>102</v>
      </c>
      <c r="G33" s="119"/>
      <c r="H33" s="119">
        <v>-1845</v>
      </c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9673</v>
      </c>
      <c r="H34" s="332">
        <f>H28+H32+H33</f>
        <v>8981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0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74989</v>
      </c>
      <c r="H37" s="334">
        <f>H26+H18+H34</f>
        <v>75500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4108</v>
      </c>
      <c r="H40" s="317">
        <v>4126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328</v>
      </c>
      <c r="H44" s="119">
        <v>328</v>
      </c>
      <c r="M44" s="74"/>
    </row>
    <row r="45" spans="1:8" ht="15.75">
      <c r="A45" s="66" t="s">
        <v>133</v>
      </c>
      <c r="B45" s="68" t="s">
        <v>134</v>
      </c>
      <c r="C45" s="119"/>
      <c r="D45" s="119"/>
      <c r="E45" s="128" t="s">
        <v>135</v>
      </c>
      <c r="F45" s="69" t="s">
        <v>136</v>
      </c>
      <c r="G45" s="119">
        <v>1412</v>
      </c>
      <c r="H45" s="119">
        <v>1283</v>
      </c>
    </row>
    <row r="46" spans="1:13" ht="15.75">
      <c r="A46" s="238" t="s">
        <v>137</v>
      </c>
      <c r="B46" s="72" t="s">
        <v>138</v>
      </c>
      <c r="C46" s="331">
        <f>C35+C40+C45</f>
        <v>0</v>
      </c>
      <c r="D46" s="332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295</v>
      </c>
      <c r="D48" s="119">
        <v>295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596</v>
      </c>
      <c r="H49" s="119">
        <v>596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2336</v>
      </c>
      <c r="H50" s="330">
        <f>SUM(H44:H49)</f>
        <v>2207</v>
      </c>
    </row>
    <row r="51" spans="1:8" ht="15.75">
      <c r="A51" s="66" t="s">
        <v>79</v>
      </c>
      <c r="B51" s="68" t="s">
        <v>155</v>
      </c>
      <c r="C51" s="119"/>
      <c r="D51" s="119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295</v>
      </c>
      <c r="D52" s="332">
        <f>SUM(D48:D51)</f>
        <v>295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280</v>
      </c>
      <c r="H54" s="119">
        <v>280</v>
      </c>
    </row>
    <row r="55" spans="1:8" ht="15.75">
      <c r="A55" s="76" t="s">
        <v>166</v>
      </c>
      <c r="B55" s="72" t="s">
        <v>167</v>
      </c>
      <c r="C55" s="243">
        <v>1469</v>
      </c>
      <c r="D55" s="243">
        <v>1469</v>
      </c>
      <c r="E55" s="66" t="s">
        <v>168</v>
      </c>
      <c r="F55" s="71" t="s">
        <v>169</v>
      </c>
      <c r="G55" s="119"/>
      <c r="H55" s="119"/>
    </row>
    <row r="56" spans="1:13" ht="16.5" thickBot="1">
      <c r="A56" s="240" t="s">
        <v>170</v>
      </c>
      <c r="B56" s="130" t="s">
        <v>171</v>
      </c>
      <c r="C56" s="335">
        <f>C20+C21+C22+C28+C33+C46+C52+C54+C55</f>
        <v>58689</v>
      </c>
      <c r="D56" s="336">
        <f>D20+D21+D22+D28+D33+D46+D52+D54+D55</f>
        <v>58584</v>
      </c>
      <c r="E56" s="76" t="s">
        <v>529</v>
      </c>
      <c r="F56" s="75" t="s">
        <v>172</v>
      </c>
      <c r="G56" s="333">
        <f>G50+G52+G53+G54+G55</f>
        <v>2616</v>
      </c>
      <c r="H56" s="334">
        <f>H50+H52+H53+H54+H55</f>
        <v>2487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129</v>
      </c>
      <c r="D59" s="119">
        <v>150</v>
      </c>
      <c r="E59" s="123" t="s">
        <v>180</v>
      </c>
      <c r="F59" s="251" t="s">
        <v>181</v>
      </c>
      <c r="G59" s="119">
        <f>574+325</f>
        <v>899</v>
      </c>
      <c r="H59" s="119">
        <v>1167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206</v>
      </c>
      <c r="D61" s="119">
        <v>1954</v>
      </c>
      <c r="E61" s="122" t="s">
        <v>188</v>
      </c>
      <c r="F61" s="69" t="s">
        <v>189</v>
      </c>
      <c r="G61" s="329">
        <f>SUM(G62:G68)</f>
        <v>9277</v>
      </c>
      <c r="H61" s="330">
        <f>SUM(H62:H68)</f>
        <v>10628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537</v>
      </c>
      <c r="H62" s="119">
        <v>532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>
        <v>51</v>
      </c>
      <c r="D64" s="119"/>
      <c r="E64" s="66" t="s">
        <v>199</v>
      </c>
      <c r="F64" s="69" t="s">
        <v>200</v>
      </c>
      <c r="G64" s="119">
        <v>3153</v>
      </c>
      <c r="H64" s="119">
        <v>3755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386</v>
      </c>
      <c r="D65" s="332">
        <f>SUM(D59:D64)</f>
        <v>2104</v>
      </c>
      <c r="E65" s="66" t="s">
        <v>201</v>
      </c>
      <c r="F65" s="69" t="s">
        <v>202</v>
      </c>
      <c r="G65" s="119">
        <v>1539</v>
      </c>
      <c r="H65" s="119">
        <v>1822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f>2379+981-547</f>
        <v>2813</v>
      </c>
      <c r="H66" s="119">
        <v>2923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599</v>
      </c>
      <c r="H67" s="119">
        <v>608</v>
      </c>
    </row>
    <row r="68" spans="1:8" ht="15.75">
      <c r="A68" s="66" t="s">
        <v>206</v>
      </c>
      <c r="B68" s="68" t="s">
        <v>207</v>
      </c>
      <c r="C68" s="119">
        <v>146</v>
      </c>
      <c r="D68" s="119">
        <v>99</v>
      </c>
      <c r="E68" s="66" t="s">
        <v>212</v>
      </c>
      <c r="F68" s="69" t="s">
        <v>213</v>
      </c>
      <c r="G68" s="119">
        <f>547+89</f>
        <v>636</v>
      </c>
      <c r="H68" s="119">
        <v>988</v>
      </c>
    </row>
    <row r="69" spans="1:8" ht="15.75">
      <c r="A69" s="66" t="s">
        <v>210</v>
      </c>
      <c r="B69" s="68" t="s">
        <v>211</v>
      </c>
      <c r="C69" s="119">
        <f>16634-C70</f>
        <v>16297</v>
      </c>
      <c r="D69" s="119">
        <v>15725</v>
      </c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>
        <v>337</v>
      </c>
      <c r="D70" s="119">
        <v>234</v>
      </c>
      <c r="E70" s="66" t="s">
        <v>219</v>
      </c>
      <c r="F70" s="69" t="s">
        <v>220</v>
      </c>
      <c r="G70" s="119">
        <v>1535</v>
      </c>
      <c r="H70" s="119">
        <v>1535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11711</v>
      </c>
      <c r="H71" s="332">
        <f>H59+H60+H61+H69+H70</f>
        <v>13330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f>175+27</f>
        <v>202</v>
      </c>
      <c r="D73" s="119">
        <v>413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696</v>
      </c>
      <c r="D75" s="119"/>
      <c r="E75" s="250" t="s">
        <v>160</v>
      </c>
      <c r="F75" s="71" t="s">
        <v>233</v>
      </c>
      <c r="G75" s="243">
        <v>77</v>
      </c>
      <c r="H75" s="243">
        <v>77</v>
      </c>
    </row>
    <row r="76" spans="1:8" ht="15.75">
      <c r="A76" s="247" t="s">
        <v>77</v>
      </c>
      <c r="B76" s="72" t="s">
        <v>232</v>
      </c>
      <c r="C76" s="331">
        <f>SUM(C68:C75)</f>
        <v>17678</v>
      </c>
      <c r="D76" s="332">
        <f>SUM(D68:D75)</f>
        <v>16471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3319</v>
      </c>
      <c r="D79" s="330">
        <f>SUM(D80:D82)</f>
        <v>3292</v>
      </c>
      <c r="E79" s="127" t="s">
        <v>528</v>
      </c>
      <c r="F79" s="75" t="s">
        <v>241</v>
      </c>
      <c r="G79" s="333">
        <f>G71+G73+G75+G77</f>
        <v>11788</v>
      </c>
      <c r="H79" s="334">
        <f>H71+H73+H75+H77</f>
        <v>13407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>
        <v>3319</v>
      </c>
      <c r="D82" s="119">
        <v>3292</v>
      </c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3319</v>
      </c>
      <c r="D85" s="332">
        <f>D84+D83+D79</f>
        <v>3292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104</v>
      </c>
      <c r="D88" s="119">
        <v>92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12921</v>
      </c>
      <c r="D89" s="119">
        <v>14527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2</v>
      </c>
      <c r="D90" s="119">
        <v>70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5</v>
      </c>
      <c r="D91" s="119">
        <v>5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13032</v>
      </c>
      <c r="D92" s="332">
        <f>SUM(D88:D91)</f>
        <v>14694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397</v>
      </c>
      <c r="D93" s="243">
        <v>375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34812</v>
      </c>
      <c r="D94" s="336">
        <f>D65+D76+D85+D92+D93</f>
        <v>36936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93501</v>
      </c>
      <c r="D95" s="338">
        <f>D94+D56</f>
        <v>95520</v>
      </c>
      <c r="E95" s="150" t="s">
        <v>605</v>
      </c>
      <c r="F95" s="254" t="s">
        <v>268</v>
      </c>
      <c r="G95" s="337">
        <f>G37+G40+G56+G79</f>
        <v>93501</v>
      </c>
      <c r="H95" s="338">
        <f>H37+H40+H56+H79</f>
        <v>95520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638</v>
      </c>
      <c r="B98" s="433">
        <f>pdeReportingDate</f>
        <v>45427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Диана Петкова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640</v>
      </c>
      <c r="C103" s="432"/>
      <c r="D103" s="432"/>
      <c r="E103" s="432"/>
      <c r="M103" s="74"/>
    </row>
    <row r="104" spans="1:5" ht="21.75" customHeight="1">
      <c r="A104" s="424"/>
      <c r="B104" s="432" t="s">
        <v>640</v>
      </c>
      <c r="C104" s="432"/>
      <c r="D104" s="432"/>
      <c r="E104" s="432"/>
    </row>
    <row r="105" spans="1:13" ht="21.75" customHeight="1">
      <c r="A105" s="424"/>
      <c r="B105" s="432" t="s">
        <v>640</v>
      </c>
      <c r="C105" s="432"/>
      <c r="D105" s="432"/>
      <c r="E105" s="432"/>
      <c r="M105" s="74"/>
    </row>
    <row r="106" spans="1:5" ht="21.75" customHeight="1">
      <c r="A106" s="424"/>
      <c r="B106" s="432" t="s">
        <v>640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37" sqref="D37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279</v>
      </c>
      <c r="D12" s="234">
        <v>381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2757</v>
      </c>
      <c r="D13" s="234">
        <v>2202</v>
      </c>
      <c r="E13" s="116" t="s">
        <v>281</v>
      </c>
      <c r="F13" s="161" t="s">
        <v>282</v>
      </c>
      <c r="G13" s="234">
        <v>9654</v>
      </c>
      <c r="H13" s="234">
        <v>7066</v>
      </c>
    </row>
    <row r="14" spans="1:8" ht="15.75">
      <c r="A14" s="116" t="s">
        <v>283</v>
      </c>
      <c r="B14" s="112" t="s">
        <v>284</v>
      </c>
      <c r="C14" s="234">
        <v>1025</v>
      </c>
      <c r="D14" s="234">
        <v>893</v>
      </c>
      <c r="E14" s="166" t="s">
        <v>285</v>
      </c>
      <c r="F14" s="161" t="s">
        <v>286</v>
      </c>
      <c r="G14" s="234">
        <v>14056</v>
      </c>
      <c r="H14" s="234">
        <v>12137</v>
      </c>
    </row>
    <row r="15" spans="1:8" ht="15.75">
      <c r="A15" s="116" t="s">
        <v>287</v>
      </c>
      <c r="B15" s="112" t="s">
        <v>288</v>
      </c>
      <c r="C15" s="234">
        <f>9572-366</f>
        <v>9206</v>
      </c>
      <c r="D15" s="234">
        <v>8095</v>
      </c>
      <c r="E15" s="166" t="s">
        <v>79</v>
      </c>
      <c r="F15" s="161" t="s">
        <v>289</v>
      </c>
      <c r="G15" s="234">
        <v>177</v>
      </c>
      <c r="H15" s="234">
        <v>43</v>
      </c>
    </row>
    <row r="16" spans="1:8" ht="15.75">
      <c r="A16" s="116" t="s">
        <v>290</v>
      </c>
      <c r="B16" s="112" t="s">
        <v>291</v>
      </c>
      <c r="C16" s="234">
        <v>1131</v>
      </c>
      <c r="D16" s="234">
        <v>907</v>
      </c>
      <c r="E16" s="157" t="s">
        <v>52</v>
      </c>
      <c r="F16" s="185" t="s">
        <v>292</v>
      </c>
      <c r="G16" s="362">
        <f>SUM(G12:G15)</f>
        <v>23887</v>
      </c>
      <c r="H16" s="363">
        <f>SUM(H12:H15)</f>
        <v>19246</v>
      </c>
    </row>
    <row r="17" spans="1:8" ht="31.5">
      <c r="A17" s="116" t="s">
        <v>293</v>
      </c>
      <c r="B17" s="112" t="s">
        <v>294</v>
      </c>
      <c r="C17" s="234">
        <v>8351</v>
      </c>
      <c r="D17" s="234">
        <v>6303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0</v>
      </c>
      <c r="D18" s="234"/>
      <c r="E18" s="155" t="s">
        <v>297</v>
      </c>
      <c r="F18" s="159" t="s">
        <v>298</v>
      </c>
      <c r="G18" s="373"/>
      <c r="H18" s="373">
        <v>14</v>
      </c>
    </row>
    <row r="19" spans="1:8" ht="15.75">
      <c r="A19" s="116" t="s">
        <v>299</v>
      </c>
      <c r="B19" s="112" t="s">
        <v>300</v>
      </c>
      <c r="C19" s="234">
        <v>354</v>
      </c>
      <c r="D19" s="234">
        <v>-175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23103</v>
      </c>
      <c r="D22" s="363">
        <f>SUM(D12:D18)+D19</f>
        <v>18606</v>
      </c>
      <c r="E22" s="116" t="s">
        <v>309</v>
      </c>
      <c r="F22" s="158" t="s">
        <v>310</v>
      </c>
      <c r="G22" s="234">
        <v>1</v>
      </c>
      <c r="H22" s="234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27</v>
      </c>
      <c r="H24" s="234"/>
    </row>
    <row r="25" spans="1:8" ht="31.5">
      <c r="A25" s="116" t="s">
        <v>316</v>
      </c>
      <c r="B25" s="158" t="s">
        <v>317</v>
      </c>
      <c r="C25" s="234">
        <v>17</v>
      </c>
      <c r="D25" s="234">
        <v>127</v>
      </c>
      <c r="E25" s="116" t="s">
        <v>318</v>
      </c>
      <c r="F25" s="158" t="s">
        <v>319</v>
      </c>
      <c r="G25" s="234">
        <v>45</v>
      </c>
      <c r="H25" s="234">
        <v>34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>
        <v>4</v>
      </c>
      <c r="H26" s="234"/>
    </row>
    <row r="27" spans="1:8" ht="31.5">
      <c r="A27" s="116" t="s">
        <v>324</v>
      </c>
      <c r="B27" s="158" t="s">
        <v>325</v>
      </c>
      <c r="C27" s="234">
        <v>50</v>
      </c>
      <c r="D27" s="234"/>
      <c r="E27" s="157" t="s">
        <v>104</v>
      </c>
      <c r="F27" s="159" t="s">
        <v>326</v>
      </c>
      <c r="G27" s="362">
        <f>SUM(G22:G26)</f>
        <v>77</v>
      </c>
      <c r="H27" s="363">
        <f>SUM(H22:H26)</f>
        <v>36</v>
      </c>
    </row>
    <row r="28" spans="1:8" ht="15.75">
      <c r="A28" s="116" t="s">
        <v>79</v>
      </c>
      <c r="B28" s="158" t="s">
        <v>327</v>
      </c>
      <c r="C28" s="234">
        <v>43</v>
      </c>
      <c r="D28" s="234">
        <v>36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110</v>
      </c>
      <c r="D29" s="363">
        <f>SUM(D25:D28)</f>
        <v>163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23213</v>
      </c>
      <c r="D31" s="369">
        <f>D29+D22</f>
        <v>18769</v>
      </c>
      <c r="E31" s="172" t="s">
        <v>521</v>
      </c>
      <c r="F31" s="187" t="s">
        <v>331</v>
      </c>
      <c r="G31" s="174">
        <f>G16+G18+G27</f>
        <v>23964</v>
      </c>
      <c r="H31" s="175">
        <f>H16+H18+H27</f>
        <v>19296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751</v>
      </c>
      <c r="D33" s="165">
        <f>IF((H31-D31)&gt;0,H31-D31,0)</f>
        <v>527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23213</v>
      </c>
      <c r="D36" s="371">
        <f>D31-D34+D35</f>
        <v>18769</v>
      </c>
      <c r="E36" s="183" t="s">
        <v>346</v>
      </c>
      <c r="F36" s="177" t="s">
        <v>347</v>
      </c>
      <c r="G36" s="188">
        <f>G35-G34+G31</f>
        <v>23964</v>
      </c>
      <c r="H36" s="189">
        <f>H35-H34+H31</f>
        <v>19296</v>
      </c>
    </row>
    <row r="37" spans="1:8" ht="15.75">
      <c r="A37" s="182" t="s">
        <v>348</v>
      </c>
      <c r="B37" s="152" t="s">
        <v>349</v>
      </c>
      <c r="C37" s="368">
        <f>IF((G36-C36)&gt;0,G36-C36,0)</f>
        <v>751</v>
      </c>
      <c r="D37" s="369">
        <f>IF((H36-D36)&gt;0,H36-D36,0)</f>
        <v>527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0</v>
      </c>
      <c r="D38" s="363">
        <f>D39+D40+D41</f>
        <v>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>
        <v>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>
        <v>0</v>
      </c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751</v>
      </c>
      <c r="D42" s="165">
        <f>+IF((H36-D36-D38)&gt;0,H36-D36-D38,0)</f>
        <v>523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48</v>
      </c>
      <c r="D43" s="234">
        <v>141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703</v>
      </c>
      <c r="D44" s="189">
        <f>IF(H42=0,IF(D42-D43&gt;0,D42-D43+H43,0),IF(H42-H43&lt;0,H43-H42+D42,0))</f>
        <v>382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23964</v>
      </c>
      <c r="D45" s="365">
        <f>D36+D38+D42</f>
        <v>19296</v>
      </c>
      <c r="E45" s="191" t="s">
        <v>373</v>
      </c>
      <c r="F45" s="193" t="s">
        <v>374</v>
      </c>
      <c r="G45" s="364">
        <f>G42+G36</f>
        <v>23964</v>
      </c>
      <c r="H45" s="365">
        <f>H42+H36</f>
        <v>19296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639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638</v>
      </c>
      <c r="B50" s="433">
        <f>pdeReportingDate</f>
        <v>45427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Диана Петкова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640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640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640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640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5">
      <selection activeCell="G34" sqref="G3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25327</v>
      </c>
      <c r="D11" s="119">
        <v>20787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-14675</v>
      </c>
      <c r="D12" s="119">
        <v>-9394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-9639</v>
      </c>
      <c r="D14" s="119">
        <v>-8488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-185</v>
      </c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>
        <v>-56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+-138-28-4</f>
        <v>-170</v>
      </c>
      <c r="D20" s="119">
        <v>-869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658</v>
      </c>
      <c r="D21" s="392">
        <f>SUM(D11:D20)</f>
        <v>1980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+-191-406</f>
        <v>-597</v>
      </c>
      <c r="D23" s="119">
        <v>-251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-10</v>
      </c>
      <c r="D25" s="119">
        <v>14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>
        <v>18502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>
        <v>-6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-607</v>
      </c>
      <c r="D33" s="392">
        <f>SUM(D23:D32)</f>
        <v>18259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f>-740-511</f>
        <v>-1251</v>
      </c>
      <c r="D36" s="119">
        <v>-998</v>
      </c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111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-270</v>
      </c>
      <c r="D38" s="119">
        <v>-3923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+-173-8</f>
        <v>-181</v>
      </c>
      <c r="D39" s="119">
        <v>-138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>
        <v>-773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-11</v>
      </c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7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-1713</v>
      </c>
      <c r="D43" s="394">
        <f>SUM(D35:D42)</f>
        <v>-5714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-1662</v>
      </c>
      <c r="D44" s="226">
        <f>D43+D33+D21</f>
        <v>14525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14694</v>
      </c>
      <c r="D45" s="227">
        <v>21223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13032</v>
      </c>
      <c r="D46" s="229">
        <f>D45+D44</f>
        <v>35748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13030</v>
      </c>
      <c r="D47" s="217">
        <v>35636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2</v>
      </c>
      <c r="D48" s="201">
        <v>112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638</v>
      </c>
      <c r="B54" s="433">
        <f>pdeReportingDate</f>
        <v>45427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Диана Петкова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640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640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640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640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4">
      <selection activeCell="L31" sqref="L31:M31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57562</v>
      </c>
      <c r="D13" s="318">
        <f>'1-Баланс'!H20</f>
        <v>2501</v>
      </c>
      <c r="E13" s="318">
        <f>'1-Баланс'!H21</f>
        <v>0</v>
      </c>
      <c r="F13" s="318">
        <f>'1-Баланс'!H23</f>
        <v>6254</v>
      </c>
      <c r="G13" s="318">
        <f>'1-Баланс'!H24</f>
        <v>0</v>
      </c>
      <c r="H13" s="319">
        <v>202</v>
      </c>
      <c r="I13" s="318">
        <f>'1-Баланс'!H29+'1-Баланс'!H32</f>
        <v>10826</v>
      </c>
      <c r="J13" s="318">
        <f>'1-Баланс'!H30+'1-Баланс'!H33</f>
        <v>-1845</v>
      </c>
      <c r="K13" s="319"/>
      <c r="L13" s="318">
        <f>SUM(C13:K13)</f>
        <v>75500</v>
      </c>
      <c r="M13" s="320">
        <f>'1-Баланс'!H40</f>
        <v>4126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57562</v>
      </c>
      <c r="D17" s="386">
        <f aca="true" t="shared" si="2" ref="D17:M17">D13+D14</f>
        <v>2501</v>
      </c>
      <c r="E17" s="386">
        <f t="shared" si="2"/>
        <v>0</v>
      </c>
      <c r="F17" s="386">
        <f t="shared" si="2"/>
        <v>6254</v>
      </c>
      <c r="G17" s="386">
        <f t="shared" si="2"/>
        <v>0</v>
      </c>
      <c r="H17" s="386">
        <f t="shared" si="2"/>
        <v>202</v>
      </c>
      <c r="I17" s="386">
        <f t="shared" si="2"/>
        <v>10826</v>
      </c>
      <c r="J17" s="386">
        <f t="shared" si="2"/>
        <v>-1845</v>
      </c>
      <c r="K17" s="386">
        <f t="shared" si="2"/>
        <v>0</v>
      </c>
      <c r="L17" s="318">
        <f t="shared" si="1"/>
        <v>75500</v>
      </c>
      <c r="M17" s="387">
        <f t="shared" si="2"/>
        <v>4126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703</v>
      </c>
      <c r="J18" s="318">
        <f>+'1-Баланс'!G33</f>
        <v>0</v>
      </c>
      <c r="K18" s="319"/>
      <c r="L18" s="318">
        <f t="shared" si="1"/>
        <v>703</v>
      </c>
      <c r="M18" s="372">
        <v>48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</v>
      </c>
      <c r="J19" s="90">
        <f>J20+J21</f>
        <v>0</v>
      </c>
      <c r="K19" s="90">
        <f t="shared" si="3"/>
        <v>0</v>
      </c>
      <c r="L19" s="318">
        <f t="shared" si="1"/>
        <v>-11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>
        <v>-11</v>
      </c>
      <c r="J20" s="234"/>
      <c r="K20" s="234"/>
      <c r="L20" s="318">
        <f>SUM(C20:K20)</f>
        <v>-11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-1511</v>
      </c>
      <c r="D30" s="234">
        <v>260</v>
      </c>
      <c r="E30" s="234"/>
      <c r="F30" s="234"/>
      <c r="G30" s="234"/>
      <c r="H30" s="234">
        <v>48</v>
      </c>
      <c r="I30" s="234"/>
      <c r="J30" s="234"/>
      <c r="K30" s="234"/>
      <c r="L30" s="318">
        <f t="shared" si="1"/>
        <v>-1203</v>
      </c>
      <c r="M30" s="235">
        <v>-66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56051</v>
      </c>
      <c r="D31" s="386">
        <f aca="true" t="shared" si="6" ref="D31:M31">D19+D22+D23+D26+D30+D29+D17+D18</f>
        <v>2761</v>
      </c>
      <c r="E31" s="386">
        <f t="shared" si="6"/>
        <v>0</v>
      </c>
      <c r="F31" s="386">
        <f t="shared" si="6"/>
        <v>6254</v>
      </c>
      <c r="G31" s="386">
        <f t="shared" si="6"/>
        <v>0</v>
      </c>
      <c r="H31" s="386">
        <f t="shared" si="6"/>
        <v>250</v>
      </c>
      <c r="I31" s="386">
        <f t="shared" si="6"/>
        <v>11518</v>
      </c>
      <c r="J31" s="386">
        <f t="shared" si="6"/>
        <v>-1845</v>
      </c>
      <c r="K31" s="386">
        <f t="shared" si="6"/>
        <v>0</v>
      </c>
      <c r="L31" s="318">
        <f t="shared" si="1"/>
        <v>74989</v>
      </c>
      <c r="M31" s="387">
        <f t="shared" si="6"/>
        <v>4108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56051</v>
      </c>
      <c r="D34" s="321">
        <f t="shared" si="7"/>
        <v>2761</v>
      </c>
      <c r="E34" s="321">
        <f t="shared" si="7"/>
        <v>0</v>
      </c>
      <c r="F34" s="321">
        <f t="shared" si="7"/>
        <v>6254</v>
      </c>
      <c r="G34" s="321">
        <f t="shared" si="7"/>
        <v>0</v>
      </c>
      <c r="H34" s="321">
        <f t="shared" si="7"/>
        <v>250</v>
      </c>
      <c r="I34" s="321">
        <f t="shared" si="7"/>
        <v>11518</v>
      </c>
      <c r="J34" s="321">
        <f t="shared" si="7"/>
        <v>-1845</v>
      </c>
      <c r="K34" s="321">
        <f t="shared" si="7"/>
        <v>0</v>
      </c>
      <c r="L34" s="384">
        <f t="shared" si="1"/>
        <v>74989</v>
      </c>
      <c r="M34" s="322">
        <f>M31+M32+M33</f>
        <v>4108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638</v>
      </c>
      <c r="B38" s="433">
        <f>pdeReportingDate</f>
        <v>45427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Диана Петкова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640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640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640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640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597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01.01.2024 г. до 31.03.2024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598</v>
      </c>
      <c r="B5" s="404" t="s">
        <v>600</v>
      </c>
      <c r="C5" s="405" t="s">
        <v>602</v>
      </c>
      <c r="D5" s="406" t="s">
        <v>604</v>
      </c>
      <c r="E5" s="405" t="s">
        <v>603</v>
      </c>
      <c r="F5" s="404" t="s">
        <v>601</v>
      </c>
      <c r="G5" s="403" t="s">
        <v>599</v>
      </c>
    </row>
    <row r="6" spans="1:7" ht="18.75" customHeight="1">
      <c r="A6" s="409" t="s">
        <v>645</v>
      </c>
      <c r="B6" s="400" t="s">
        <v>609</v>
      </c>
      <c r="C6" s="407">
        <f>'1-Баланс'!C95</f>
        <v>93501</v>
      </c>
      <c r="D6" s="408">
        <f aca="true" t="shared" si="0" ref="D6:D15">C6-E6</f>
        <v>0</v>
      </c>
      <c r="E6" s="407">
        <f>'1-Баланс'!G95</f>
        <v>93501</v>
      </c>
      <c r="F6" s="401" t="s">
        <v>610</v>
      </c>
      <c r="G6" s="409" t="s">
        <v>645</v>
      </c>
    </row>
    <row r="7" spans="1:7" ht="18.75" customHeight="1">
      <c r="A7" s="409" t="s">
        <v>645</v>
      </c>
      <c r="B7" s="400" t="s">
        <v>608</v>
      </c>
      <c r="C7" s="407">
        <f>'1-Баланс'!G37</f>
        <v>74989</v>
      </c>
      <c r="D7" s="408">
        <f t="shared" si="0"/>
        <v>18938</v>
      </c>
      <c r="E7" s="407">
        <f>'1-Баланс'!G18</f>
        <v>56051</v>
      </c>
      <c r="F7" s="401" t="s">
        <v>455</v>
      </c>
      <c r="G7" s="409" t="s">
        <v>645</v>
      </c>
    </row>
    <row r="8" spans="1:7" ht="18.75" customHeight="1">
      <c r="A8" s="409" t="s">
        <v>645</v>
      </c>
      <c r="B8" s="400" t="s">
        <v>606</v>
      </c>
      <c r="C8" s="407">
        <f>ABS('1-Баланс'!G32)-ABS('1-Баланс'!G33)</f>
        <v>703</v>
      </c>
      <c r="D8" s="408">
        <f t="shared" si="0"/>
        <v>0</v>
      </c>
      <c r="E8" s="407">
        <f>ABS('2-Отчет за доходите'!C44)-ABS('2-Отчет за доходите'!G44)</f>
        <v>703</v>
      </c>
      <c r="F8" s="401" t="s">
        <v>607</v>
      </c>
      <c r="G8" s="410" t="s">
        <v>647</v>
      </c>
    </row>
    <row r="9" spans="1:7" ht="18.75" customHeight="1">
      <c r="A9" s="409" t="s">
        <v>645</v>
      </c>
      <c r="B9" s="400" t="s">
        <v>612</v>
      </c>
      <c r="C9" s="407">
        <f>'1-Баланс'!D92</f>
        <v>14694</v>
      </c>
      <c r="D9" s="408">
        <f t="shared" si="0"/>
        <v>0</v>
      </c>
      <c r="E9" s="407">
        <f>'3-Отчет за паричния поток'!C45</f>
        <v>14694</v>
      </c>
      <c r="F9" s="401" t="s">
        <v>611</v>
      </c>
      <c r="G9" s="410" t="s">
        <v>646</v>
      </c>
    </row>
    <row r="10" spans="1:7" ht="18.75" customHeight="1">
      <c r="A10" s="409" t="s">
        <v>645</v>
      </c>
      <c r="B10" s="400" t="s">
        <v>613</v>
      </c>
      <c r="C10" s="407">
        <f>'1-Баланс'!C92</f>
        <v>13032</v>
      </c>
      <c r="D10" s="408">
        <f t="shared" si="0"/>
        <v>0</v>
      </c>
      <c r="E10" s="407">
        <f>'3-Отчет за паричния поток'!C46</f>
        <v>13032</v>
      </c>
      <c r="F10" s="401" t="s">
        <v>614</v>
      </c>
      <c r="G10" s="410" t="s">
        <v>646</v>
      </c>
    </row>
    <row r="11" spans="1:7" ht="18.75" customHeight="1">
      <c r="A11" s="409" t="s">
        <v>645</v>
      </c>
      <c r="B11" s="400" t="s">
        <v>608</v>
      </c>
      <c r="C11" s="407">
        <f>'1-Баланс'!G37</f>
        <v>74989</v>
      </c>
      <c r="D11" s="408">
        <f t="shared" si="0"/>
        <v>0</v>
      </c>
      <c r="E11" s="407">
        <f>'4-Отчет за собствения капитал'!L34</f>
        <v>74989</v>
      </c>
      <c r="F11" s="401" t="s">
        <v>615</v>
      </c>
      <c r="G11" s="410" t="s">
        <v>648</v>
      </c>
    </row>
    <row r="12" spans="1:7" ht="18.75" customHeight="1">
      <c r="A12" s="409" t="s">
        <v>645</v>
      </c>
      <c r="B12" s="400" t="s">
        <v>616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620</v>
      </c>
      <c r="G12" s="410" t="s">
        <v>649</v>
      </c>
    </row>
    <row r="13" spans="1:7" ht="18.75" customHeight="1">
      <c r="A13" s="409" t="s">
        <v>645</v>
      </c>
      <c r="B13" s="400" t="s">
        <v>617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621</v>
      </c>
      <c r="G13" s="410" t="s">
        <v>649</v>
      </c>
    </row>
    <row r="14" spans="1:7" ht="18.75" customHeight="1">
      <c r="A14" s="409" t="s">
        <v>645</v>
      </c>
      <c r="B14" s="400" t="s">
        <v>618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622</v>
      </c>
      <c r="G14" s="410" t="s">
        <v>649</v>
      </c>
    </row>
    <row r="15" spans="1:7" ht="18.75" customHeight="1">
      <c r="A15" s="409" t="s">
        <v>645</v>
      </c>
      <c r="B15" s="400" t="s">
        <v>619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623</v>
      </c>
      <c r="G15" s="410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0.02943023401850379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0.00937470829054928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0.04880588725354068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0.007518636164319098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1.0323525610649205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2.953172718018324</v>
      </c>
    </row>
    <row r="11" spans="1:4" ht="63">
      <c r="A11" s="326">
        <v>7</v>
      </c>
      <c r="B11" s="324" t="s">
        <v>564</v>
      </c>
      <c r="C11" s="325" t="s">
        <v>627</v>
      </c>
      <c r="D11" s="374">
        <f>('1-Баланс'!C76+'1-Баланс'!C85+'1-Баланс'!C92)/'1-Баланс'!G79</f>
        <v>2.8867492365117067</v>
      </c>
    </row>
    <row r="12" spans="1:4" ht="47.25">
      <c r="A12" s="326">
        <v>8</v>
      </c>
      <c r="B12" s="324" t="s">
        <v>565</v>
      </c>
      <c r="C12" s="325" t="s">
        <v>628</v>
      </c>
      <c r="D12" s="374">
        <f>('1-Баланс'!C85+'1-Баланс'!C92)/'1-Баланс'!G79</f>
        <v>1.3870885646420088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1.1055310485239227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0.7690846453523938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0.2554732034951498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595</v>
      </c>
      <c r="C18" s="325" t="s">
        <v>570</v>
      </c>
      <c r="D18" s="374">
        <f>'1-Баланс'!G56/('1-Баланс'!G37+'1-Баланс'!G56)</f>
        <v>0.03370916822369693</v>
      </c>
    </row>
    <row r="19" spans="1:4" ht="31.5">
      <c r="A19" s="326">
        <v>13</v>
      </c>
      <c r="B19" s="324" t="s">
        <v>596</v>
      </c>
      <c r="C19" s="325" t="s">
        <v>572</v>
      </c>
      <c r="D19" s="374">
        <f>D4/D5</f>
        <v>0.19208150528744214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0.15405182832269174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768</v>
      </c>
      <c r="E21" s="426"/>
    </row>
    <row r="22" spans="1:4" ht="63">
      <c r="A22" s="326">
        <v>16</v>
      </c>
      <c r="B22" s="324" t="s">
        <v>579</v>
      </c>
      <c r="C22" s="325" t="s">
        <v>580</v>
      </c>
      <c r="D22" s="380">
        <f>D21/'1-Баланс'!G37</f>
        <v>0.010241502086972757</v>
      </c>
    </row>
    <row r="23" spans="1:4" ht="31.5">
      <c r="A23" s="326">
        <v>17</v>
      </c>
      <c r="B23" s="324" t="s">
        <v>641</v>
      </c>
      <c r="C23" s="325" t="s">
        <v>642</v>
      </c>
      <c r="D23" s="380">
        <f>(D21+'2-Отчет за доходите'!C14)/'2-Отчет за доходите'!G31</f>
        <v>0.07482056417960274</v>
      </c>
    </row>
    <row r="24" spans="1:4" ht="31.5">
      <c r="A24" s="326">
        <v>18</v>
      </c>
      <c r="B24" s="324" t="s">
        <v>643</v>
      </c>
      <c r="C24" s="325" t="s">
        <v>644</v>
      </c>
      <c r="D24" s="380">
        <f>('1-Баланс'!G56+'1-Баланс'!G79)/(D21+'2-Отчет за доходите'!C14)</f>
        <v>8.033463469046291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6340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1340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220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270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297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1992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10459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3909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895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10770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4640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20214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26252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26252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295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295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1469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58689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129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206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51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386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146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16297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337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202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696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17678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3319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3319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3319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104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12921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13032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397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34812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93501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-3310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56051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2761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6504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6254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250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9265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8970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8970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703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9673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74989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4108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328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1412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596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2336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280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2616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899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9277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537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3153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1539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2813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599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636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1535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11711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77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11788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93501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279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2757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1025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9206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1131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8351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354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23103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17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50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43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110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23213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751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23213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751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751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48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703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23964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9654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14056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177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23887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27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45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77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23964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23964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23964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25327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-14675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-9639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-185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-170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658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-597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-10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-607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-1251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-270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-181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0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-11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-1713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45382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-1662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45382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14694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45382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13032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45382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13030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45382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2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45382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57562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45382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45382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45382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45382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57562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45382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45382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45382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45382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45382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45382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45382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45382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45382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45382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45382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45382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45382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-1511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45382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56051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45382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45382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45382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56051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45382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2501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45382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45382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45382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45382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2501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45382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45382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45382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45382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45382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45382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45382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45382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45382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45382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45382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45382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45382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260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45382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2761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45382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45382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45382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2761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45382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45382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45382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45382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45382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45382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45382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45382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45382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45382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45382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45382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45382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45382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45382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45382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45382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45382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45382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45382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45382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45382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45382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6254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45382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45382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45382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45382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6254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45382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45382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45382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45382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45382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45382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45382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45382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45382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45382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45382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45382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45382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45382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6254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45382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45382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45382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6254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45382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45382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45382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45382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45382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45382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45382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45382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45382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45382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45382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45382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45382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45382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45382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45382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45382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45382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45382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45382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45382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45382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45382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202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45382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45382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45382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45382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202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45382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45382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45382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45382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45382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45382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45382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45382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45382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45382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45382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45382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45382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48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45382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250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45382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45382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45382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250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45382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10826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45382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45382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45382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45382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10826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45382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703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45382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-11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45382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-11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45382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45382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45382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45382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45382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45382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45382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45382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45382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45382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45382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11518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45382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45382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45382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11518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45382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-1845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45382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45382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45382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45382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-1845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45382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45382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45382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45382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45382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45382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45382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45382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45382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45382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45382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45382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45382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45382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-1845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45382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45382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45382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-1845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45382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45382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45382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45382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45382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45382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45382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45382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45382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45382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45382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45382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45382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45382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45382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45382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45382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45382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45382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45382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45382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45382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45382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75500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45382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45382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45382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45382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75500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45382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703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45382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-11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45382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-11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45382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45382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45382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45382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45382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45382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45382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45382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45382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45382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-1203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45382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74989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45382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45382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45382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74989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45382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4126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45382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45382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45382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45382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4126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45382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48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45382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45382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45382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45382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45382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45382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45382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45382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45382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45382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45382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45382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-66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45382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4108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45382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45382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45382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4108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2024-05-15T11:44:03Z</dcterms:modified>
  <cp:category/>
  <cp:version/>
  <cp:contentType/>
  <cp:contentStatus/>
</cp:coreProperties>
</file>